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14145" windowHeight="8190" activeTab="0"/>
  </bookViews>
  <sheets>
    <sheet name="Sheet1" sheetId="1" r:id="rId1"/>
    <sheet name="Sheet2" sheetId="2" r:id="rId2"/>
  </sheets>
  <definedNames>
    <definedName name="DOSEARG">'Sheet1'!$D$80</definedName>
    <definedName name="DOSEBZ">'Sheet1'!$D$33</definedName>
    <definedName name="DOSEPB">'Sheet1'!$D$51</definedName>
    <definedName name="WEIGHT">'Sheet1'!$D$21</definedName>
    <definedName name="WEIGHT1">'Sheet2'!$D$13</definedName>
    <definedName name="WTUSED">'Sheet1'!$D$22</definedName>
    <definedName name="WTUSED1">'Sheet2'!$D$14</definedName>
  </definedNames>
  <calcPr fullCalcOnLoad="1"/>
</workbook>
</file>

<file path=xl/sharedStrings.xml><?xml version="1.0" encoding="utf-8"?>
<sst xmlns="http://schemas.openxmlformats.org/spreadsheetml/2006/main" count="227" uniqueCount="100">
  <si>
    <t>INFUSION CALCULATOR FOR EMERGENCY TREATMENT OF HYPERAMMONAEMIA</t>
  </si>
  <si>
    <t>Enter patient's weight:</t>
  </si>
  <si>
    <t>LOADING DOSE</t>
  </si>
  <si>
    <t>MAINTENANCE DOSE</t>
  </si>
  <si>
    <t>(over 24 hours)</t>
  </si>
  <si>
    <t>SODIUM BENZOATE</t>
  </si>
  <si>
    <t>grams</t>
  </si>
  <si>
    <t>mls of 10% dextrose</t>
  </si>
  <si>
    <t>mls/hour</t>
  </si>
  <si>
    <t>mg/ml</t>
  </si>
  <si>
    <t>SODIUM PHENYLBUTYRATE</t>
  </si>
  <si>
    <t>ARGININE HYDROCHLORIDE</t>
  </si>
  <si>
    <t>If another dose is required enter it in mg/kg</t>
  </si>
  <si>
    <t>(If required - Discuss with consultant)</t>
  </si>
  <si>
    <t>This is the standard dose</t>
  </si>
  <si>
    <t>150mg/kg =</t>
  </si>
  <si>
    <t xml:space="preserve">This is the standard dose for OTC and CPS </t>
  </si>
  <si>
    <t>deficiencies</t>
  </si>
  <si>
    <t>Volume of benzoate</t>
  </si>
  <si>
    <t>ml</t>
  </si>
  <si>
    <t>exceed 50 mg/ml</t>
  </si>
  <si>
    <t>Concentration of final infusion should NOT</t>
  </si>
  <si>
    <t>Concentration</t>
  </si>
  <si>
    <t>Volume of arginine</t>
  </si>
  <si>
    <t>300 mg/kg =</t>
  </si>
  <si>
    <t>Volume of Arginine</t>
  </si>
  <si>
    <t>CHECK Ampoule is 1g in 5ml</t>
  </si>
  <si>
    <t>This is the standard dose for Citrullinaemia</t>
  </si>
  <si>
    <t>and argininosuccinic aciduria</t>
  </si>
  <si>
    <t>CHECK and enter concentration in ampoule</t>
  </si>
  <si>
    <t>300mg/kg =</t>
  </si>
  <si>
    <t>(Discuss with specialist)</t>
  </si>
  <si>
    <t>Discuss with specialist</t>
  </si>
  <si>
    <t>mmol/l</t>
  </si>
  <si>
    <t>Sodium concentration</t>
  </si>
  <si>
    <t>CHECK Concentration in ampoule as this</t>
  </si>
  <si>
    <r>
      <t xml:space="preserve"> varies between 10 &amp; 60% ENTER  </t>
    </r>
    <r>
      <rPr>
        <sz val="12"/>
        <color indexed="10"/>
        <rFont val="Wingdings"/>
        <family val="0"/>
      </rPr>
      <t>ð</t>
    </r>
  </si>
  <si>
    <t>CHECK concentration in ampoule as this</t>
  </si>
  <si>
    <r>
      <t xml:space="preserve">varies between 10 &amp; 60%  ENTER  </t>
    </r>
    <r>
      <rPr>
        <sz val="12"/>
        <color indexed="10"/>
        <rFont val="Wingdings"/>
        <family val="0"/>
      </rPr>
      <t>ð</t>
    </r>
  </si>
  <si>
    <t>This calculator has been checked but the BIMDG is not liable for any errors. Do not modify this spreadshheet</t>
  </si>
  <si>
    <t>as this varies between 10 &amp; 60%</t>
  </si>
  <si>
    <t>gm</t>
  </si>
  <si>
    <t>Dose of benzoate</t>
  </si>
  <si>
    <t>Volume</t>
  </si>
  <si>
    <t>Alternative dose of benzoate after discussion</t>
  </si>
  <si>
    <t xml:space="preserve">Alternative dose of phenylbutyrate after discussion </t>
  </si>
  <si>
    <t>Dose of phenylbut</t>
  </si>
  <si>
    <t>with specialist- use standard dilution</t>
  </si>
  <si>
    <t>with specialist - use standard dilution</t>
  </si>
  <si>
    <t>add to</t>
  </si>
  <si>
    <t xml:space="preserve">add to </t>
  </si>
  <si>
    <t xml:space="preserve">A loading dose of arginine is not usually given </t>
  </si>
  <si>
    <t>in these disorders</t>
  </si>
  <si>
    <t>given over 90 minutes @</t>
  </si>
  <si>
    <t>given @</t>
  </si>
  <si>
    <t>given over 24 hours @</t>
  </si>
  <si>
    <t>Total volume</t>
  </si>
  <si>
    <t>given over 24 hours@</t>
  </si>
  <si>
    <t>Total Volume</t>
  </si>
  <si>
    <t>given over 24 hours  @</t>
  </si>
  <si>
    <t>Dose @ 250 mg/kg</t>
  </si>
  <si>
    <t>If the child weighs more than 40kg use the adult protocol.</t>
  </si>
  <si>
    <t>1.Enter child's weight in the yellow box in kilograms and press return.</t>
  </si>
  <si>
    <t>ml of 10% glucose</t>
  </si>
  <si>
    <t>3. If there are problems, discuss the dose with the regional metabolic unit. If not using the standard dose enter it in mg/kg per 24 hours in the green box .</t>
  </si>
  <si>
    <t>4. For arginine, enter the concentration in the ampoule in the orange box, then proceed as above.</t>
  </si>
  <si>
    <t>2. For the first 24 hours, use the standard loading given over 1.5 hours and the maintenance dose over 24 hours.</t>
  </si>
  <si>
    <t>Total volume of phenylbut</t>
  </si>
  <si>
    <t>Volume of phenylbutyrate</t>
  </si>
  <si>
    <t>Abbreviations: Min = minimum: vol = volume</t>
  </si>
  <si>
    <t>Add to ( minimum)</t>
  </si>
  <si>
    <t>Total volume (diluted)</t>
  </si>
  <si>
    <t xml:space="preserve">            Add to ( minimum)</t>
  </si>
  <si>
    <t xml:space="preserve">              Add to ( minimum)</t>
  </si>
  <si>
    <t>Total volume(diluted)</t>
  </si>
  <si>
    <r>
      <t>IMPORTANT NOTES:</t>
    </r>
    <r>
      <rPr>
        <sz val="9"/>
        <rFont val="Arial"/>
        <family val="0"/>
      </rPr>
      <t xml:space="preserve"> For convenience and consistency, the solutions should be made up at a concentration of 50 mg/ml  and delivered via:</t>
    </r>
  </si>
  <si>
    <t>The concentration reaching the patient should be more than 25mg /ml, which is most easily achieved by piggy -backing all the drug infusions into the</t>
  </si>
  <si>
    <t xml:space="preserve"> maintenance fluid infusion.</t>
  </si>
  <si>
    <r>
      <t xml:space="preserve">either </t>
    </r>
    <r>
      <rPr>
        <sz val="9"/>
        <rFont val="Arial"/>
        <family val="0"/>
      </rPr>
      <t xml:space="preserve">   a syringe driver  ( maximum concentration 2.5 g in 50 ml syringe). </t>
    </r>
  </si>
  <si>
    <r>
      <t xml:space="preserve">or </t>
    </r>
    <r>
      <rPr>
        <sz val="9"/>
        <rFont val="Arial"/>
        <family val="0"/>
      </rPr>
      <t xml:space="preserve">         an infusion pump ( maximum concentration 25g in 500 ml bag)</t>
    </r>
  </si>
  <si>
    <t>Total volume of mixture</t>
  </si>
  <si>
    <t>Dose @ 250 mg/kg of each</t>
  </si>
  <si>
    <t>IMPORTANT NOTES</t>
  </si>
  <si>
    <r>
      <t>2. Ammonul</t>
    </r>
    <r>
      <rPr>
        <sz val="9"/>
        <rFont val="Symbol"/>
        <family val="1"/>
      </rPr>
      <t>Ò</t>
    </r>
    <r>
      <rPr>
        <sz val="9"/>
        <rFont val="Arial"/>
        <family val="0"/>
      </rPr>
      <t xml:space="preserve"> is supplied in 50 ml vial containing 5g of sodium benzoate and 5g of sodium phenylacetate</t>
    </r>
  </si>
  <si>
    <r>
      <t>1. If using Ammonul</t>
    </r>
    <r>
      <rPr>
        <sz val="9"/>
        <rFont val="Symbol"/>
        <family val="1"/>
      </rPr>
      <t>Ò</t>
    </r>
    <r>
      <rPr>
        <sz val="9"/>
        <rFont val="Arial"/>
        <family val="0"/>
      </rPr>
      <t xml:space="preserve"> (sodium benzoate and sodium phenylacetate mixture) DO NOT use other preparations of Sodium benzoate and / or Sodium phenylbutyrate.</t>
    </r>
  </si>
  <si>
    <t>exceed 50 mg/ml of each medicine</t>
  </si>
  <si>
    <t>3. Check very carefully as overdoses are dangerous</t>
  </si>
  <si>
    <t xml:space="preserve">AMMONUL (SODIUM BENZOATE and </t>
  </si>
  <si>
    <t>SODIUM PHENYLBUTYRATE mixture)</t>
  </si>
  <si>
    <t xml:space="preserve">Alternative dose of AMMONUL after discussion </t>
  </si>
  <si>
    <t>Dose of ammonul</t>
  </si>
  <si>
    <t>grams of each</t>
  </si>
  <si>
    <t xml:space="preserve">Vol of Ammonul </t>
  </si>
  <si>
    <t>(must be diluted)</t>
  </si>
  <si>
    <t>Please read these instructions carefully.</t>
  </si>
  <si>
    <t>WARNING:  The doses of sodium benzoate and phenylbutyrate are based on standard ampoules of 1g in 5 ml except AMMONUL.</t>
  </si>
  <si>
    <t>Note: For the combined preparation AMMONUL go to sheet 2</t>
  </si>
  <si>
    <t>of one medicine</t>
  </si>
  <si>
    <r>
      <t>WARNING   For use with AMMONUL</t>
    </r>
    <r>
      <rPr>
        <b/>
        <sz val="12"/>
        <color indexed="10"/>
        <rFont val="Symbol"/>
        <family val="1"/>
      </rPr>
      <t>Ò</t>
    </r>
    <r>
      <rPr>
        <b/>
        <sz val="12"/>
        <color indexed="10"/>
        <rFont val="Arial"/>
        <family val="2"/>
      </rPr>
      <t xml:space="preserve"> only</t>
    </r>
  </si>
  <si>
    <t>given over 24 hrs @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</si>
</sst>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sz val="9"/>
      <color indexed="10"/>
      <name val="Arial"/>
      <family val="2"/>
    </font>
    <font>
      <b/>
      <sz val="14"/>
      <color indexed="14"/>
      <name val="Curlz MT"/>
      <family val="5"/>
    </font>
    <font>
      <b/>
      <sz val="9"/>
      <color indexed="14"/>
      <name val="Curlz MT"/>
      <family val="5"/>
    </font>
    <font>
      <sz val="12"/>
      <color indexed="10"/>
      <name val="Wingdings"/>
      <family val="0"/>
    </font>
    <font>
      <u val="single"/>
      <sz val="9"/>
      <name val="Arial"/>
      <family val="0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name val="Symbol"/>
      <family val="1"/>
    </font>
    <font>
      <sz val="9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10"/>
      <name val="Arial"/>
      <family val="2"/>
    </font>
    <font>
      <b/>
      <sz val="12"/>
      <color indexed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5" xfId="0" applyFont="1" applyBorder="1" applyAlignment="1">
      <alignment/>
    </xf>
    <xf numFmtId="0" fontId="2" fillId="34" borderId="18" xfId="0" applyFont="1" applyFill="1" applyBorder="1" applyAlignment="1" applyProtection="1">
      <alignment/>
      <protection locked="0"/>
    </xf>
    <xf numFmtId="0" fontId="2" fillId="0" borderId="15" xfId="0" applyFont="1" applyBorder="1" applyAlignment="1">
      <alignment horizontal="left"/>
    </xf>
    <xf numFmtId="164" fontId="2" fillId="0" borderId="15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4" fontId="2" fillId="0" borderId="15" xfId="0" applyNumberFormat="1" applyFont="1" applyFill="1" applyBorder="1" applyAlignment="1">
      <alignment/>
    </xf>
    <xf numFmtId="164" fontId="2" fillId="34" borderId="18" xfId="0" applyNumberFormat="1" applyFont="1" applyFill="1" applyBorder="1" applyAlignment="1" applyProtection="1">
      <alignment/>
      <protection locked="0"/>
    </xf>
    <xf numFmtId="164" fontId="9" fillId="0" borderId="15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2" fillId="35" borderId="18" xfId="0" applyNumberFormat="1" applyFont="1" applyFill="1" applyBorder="1" applyAlignment="1" applyProtection="1">
      <alignment/>
      <protection locked="0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6" xfId="0" applyNumberFormat="1" applyFont="1" applyBorder="1" applyAlignment="1" applyProtection="1">
      <alignment/>
      <protection hidden="1"/>
    </xf>
    <xf numFmtId="164" fontId="2" fillId="0" borderId="1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2" fillId="33" borderId="1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0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1.8515625" style="1" customWidth="1"/>
    <col min="2" max="2" width="9.140625" style="1" customWidth="1"/>
    <col min="3" max="3" width="21.140625" style="1" customWidth="1"/>
    <col min="4" max="4" width="8.57421875" style="1" customWidth="1"/>
    <col min="5" max="5" width="22.140625" style="1" customWidth="1"/>
    <col min="6" max="6" width="6.00390625" style="1" customWidth="1"/>
    <col min="7" max="7" width="18.00390625" style="1" customWidth="1"/>
    <col min="8" max="8" width="22.8515625" style="1" customWidth="1"/>
    <col min="9" max="9" width="7.140625" style="1" customWidth="1"/>
    <col min="10" max="10" width="17.28125" style="1" customWidth="1"/>
  </cols>
  <sheetData>
    <row r="1" ht="12.75">
      <c r="E1" s="2" t="s">
        <v>0</v>
      </c>
    </row>
    <row r="2" ht="12.75">
      <c r="E2" s="2"/>
    </row>
    <row r="3" spans="3:5" ht="12.75">
      <c r="C3" s="27" t="s">
        <v>39</v>
      </c>
      <c r="E3" s="2"/>
    </row>
    <row r="4" spans="3:5" ht="12.75">
      <c r="C4" s="27"/>
      <c r="E4" s="2"/>
    </row>
    <row r="5" spans="2:5" ht="15.75">
      <c r="B5" s="1" t="s">
        <v>94</v>
      </c>
      <c r="E5" s="70" t="s">
        <v>96</v>
      </c>
    </row>
    <row r="6" spans="3:7" ht="13.5">
      <c r="C6" s="1" t="s">
        <v>62</v>
      </c>
      <c r="E6" s="26"/>
      <c r="G6" s="1" t="s">
        <v>61</v>
      </c>
    </row>
    <row r="7" spans="3:5" ht="13.5">
      <c r="C7" s="1" t="s">
        <v>66</v>
      </c>
      <c r="E7" s="26"/>
    </row>
    <row r="8" spans="3:5" ht="13.5">
      <c r="C8" s="1" t="s">
        <v>64</v>
      </c>
      <c r="E8" s="26"/>
    </row>
    <row r="9" spans="3:5" ht="13.5">
      <c r="C9" s="1" t="s">
        <v>65</v>
      </c>
      <c r="E9" s="26"/>
    </row>
    <row r="10" ht="13.5">
      <c r="E10" s="26"/>
    </row>
    <row r="11" spans="3:10" ht="12.75">
      <c r="C11" s="87" t="s">
        <v>75</v>
      </c>
      <c r="D11" s="88"/>
      <c r="E11" s="88"/>
      <c r="F11" s="88"/>
      <c r="G11" s="88"/>
      <c r="H11" s="88"/>
      <c r="I11" s="88"/>
      <c r="J11" s="88"/>
    </row>
    <row r="12" spans="3:10" ht="12.75">
      <c r="C12" s="89" t="s">
        <v>78</v>
      </c>
      <c r="D12" s="88"/>
      <c r="E12" s="88"/>
      <c r="F12" s="88"/>
      <c r="G12" s="88"/>
      <c r="H12" s="88"/>
      <c r="I12" s="88"/>
      <c r="J12" s="88"/>
    </row>
    <row r="13" spans="3:10" ht="12.75">
      <c r="C13" s="89" t="s">
        <v>79</v>
      </c>
      <c r="D13" s="88"/>
      <c r="E13" s="88"/>
      <c r="F13" s="88"/>
      <c r="G13" s="64"/>
      <c r="H13" s="64"/>
      <c r="I13" s="64"/>
      <c r="J13" s="64"/>
    </row>
    <row r="14" spans="3:10" ht="12.75">
      <c r="C14" s="90" t="s">
        <v>76</v>
      </c>
      <c r="D14" s="88"/>
      <c r="E14" s="88"/>
      <c r="F14" s="88"/>
      <c r="G14" s="88"/>
      <c r="H14" s="88"/>
      <c r="I14" s="88"/>
      <c r="J14" s="88"/>
    </row>
    <row r="15" spans="3:7" ht="12.75" customHeight="1">
      <c r="C15" s="91" t="s">
        <v>77</v>
      </c>
      <c r="D15" s="88"/>
      <c r="E15" s="88"/>
      <c r="G15" s="65" t="s">
        <v>69</v>
      </c>
    </row>
    <row r="16" spans="3:5" ht="15.75" customHeight="1">
      <c r="C16" s="19" t="s">
        <v>95</v>
      </c>
      <c r="E16" s="18"/>
    </row>
    <row r="17" spans="3:5" ht="15.75" customHeight="1">
      <c r="C17" s="19"/>
      <c r="E17" s="18"/>
    </row>
    <row r="18" spans="3:5" ht="15.75" customHeight="1">
      <c r="C18" s="69"/>
      <c r="E18" s="18"/>
    </row>
    <row r="19" ht="13.5" thickBot="1">
      <c r="E19" s="2"/>
    </row>
    <row r="20" spans="2:10" ht="13.5" thickBot="1">
      <c r="B20" s="3"/>
      <c r="C20" s="4"/>
      <c r="D20" s="5"/>
      <c r="E20" s="3"/>
      <c r="F20" s="4"/>
      <c r="G20" s="5"/>
      <c r="H20" s="3"/>
      <c r="I20" s="4"/>
      <c r="J20" s="5"/>
    </row>
    <row r="21" spans="2:10" ht="13.5" thickBot="1">
      <c r="B21" s="10"/>
      <c r="C21" s="17" t="s">
        <v>1</v>
      </c>
      <c r="D21" s="58"/>
      <c r="E21" s="79" t="s">
        <v>2</v>
      </c>
      <c r="F21" s="80"/>
      <c r="G21" s="81"/>
      <c r="H21" s="79" t="s">
        <v>3</v>
      </c>
      <c r="I21" s="80"/>
      <c r="J21" s="81"/>
    </row>
    <row r="22" spans="2:10" ht="13.5" thickBot="1">
      <c r="B22" s="10"/>
      <c r="C22" s="59">
        <f>IF(WEIGHT&gt;=39.9,"USE ADULT protocol","")</f>
      </c>
      <c r="D22" s="60">
        <f>IF(WEIGHT&gt;=40,,WEIGHT)</f>
        <v>0</v>
      </c>
      <c r="E22" s="82" t="s">
        <v>13</v>
      </c>
      <c r="F22" s="83"/>
      <c r="G22" s="84"/>
      <c r="H22" s="82" t="s">
        <v>4</v>
      </c>
      <c r="I22" s="85"/>
      <c r="J22" s="86"/>
    </row>
    <row r="23" spans="2:10" ht="12.75">
      <c r="B23" s="3"/>
      <c r="C23" s="4"/>
      <c r="D23" s="5"/>
      <c r="E23" s="3" t="s">
        <v>60</v>
      </c>
      <c r="F23" s="46">
        <f>(WTUSED*0.25)</f>
        <v>0</v>
      </c>
      <c r="G23" s="5" t="s">
        <v>41</v>
      </c>
      <c r="H23" s="10" t="s">
        <v>60</v>
      </c>
      <c r="I23" s="33">
        <f>(WTUSED*0.25)</f>
        <v>0</v>
      </c>
      <c r="J23" s="9" t="s">
        <v>41</v>
      </c>
    </row>
    <row r="24" spans="2:10" ht="12.75">
      <c r="B24" s="8" t="s">
        <v>5</v>
      </c>
      <c r="C24" s="11"/>
      <c r="D24" s="9"/>
      <c r="E24" s="10" t="s">
        <v>18</v>
      </c>
      <c r="F24" s="39">
        <f>F23*5</f>
        <v>0</v>
      </c>
      <c r="G24" s="9" t="s">
        <v>19</v>
      </c>
      <c r="H24" s="10" t="s">
        <v>18</v>
      </c>
      <c r="I24" s="39">
        <f>I23*5</f>
        <v>0</v>
      </c>
      <c r="J24" s="9" t="s">
        <v>19</v>
      </c>
    </row>
    <row r="25" spans="2:10" ht="12.75">
      <c r="B25" s="10" t="s">
        <v>14</v>
      </c>
      <c r="C25" s="11"/>
      <c r="D25" s="9"/>
      <c r="E25" s="10"/>
      <c r="F25" s="33"/>
      <c r="G25" s="9"/>
      <c r="H25" s="12"/>
      <c r="I25" s="33"/>
      <c r="J25" s="9"/>
    </row>
    <row r="26" spans="2:10" ht="12.75">
      <c r="B26" s="15" t="s">
        <v>26</v>
      </c>
      <c r="C26" s="11"/>
      <c r="D26" s="9"/>
      <c r="E26" s="12" t="s">
        <v>70</v>
      </c>
      <c r="F26" s="33">
        <f>(F24*4)-F24</f>
        <v>0</v>
      </c>
      <c r="G26" s="9" t="s">
        <v>63</v>
      </c>
      <c r="H26" s="10" t="s">
        <v>72</v>
      </c>
      <c r="I26" s="33">
        <f>(I24*4)-I24</f>
        <v>0</v>
      </c>
      <c r="J26" s="9" t="s">
        <v>63</v>
      </c>
    </row>
    <row r="27" spans="2:10" ht="12.75">
      <c r="B27" s="10"/>
      <c r="C27" s="11"/>
      <c r="D27" s="9"/>
      <c r="E27" s="10" t="s">
        <v>71</v>
      </c>
      <c r="F27" s="33">
        <f>(F23*50)/2.5</f>
        <v>0</v>
      </c>
      <c r="G27" s="9" t="s">
        <v>19</v>
      </c>
      <c r="H27" s="10" t="s">
        <v>71</v>
      </c>
      <c r="I27" s="33">
        <f>(I23*50)/2.5</f>
        <v>0</v>
      </c>
      <c r="J27" s="9" t="s">
        <v>19</v>
      </c>
    </row>
    <row r="28" spans="2:10" ht="12.75">
      <c r="B28" s="10" t="s">
        <v>21</v>
      </c>
      <c r="C28" s="11"/>
      <c r="D28" s="9"/>
      <c r="E28" s="12" t="s">
        <v>53</v>
      </c>
      <c r="F28" s="13">
        <f>((WTUSED*5)/90)*60</f>
        <v>0</v>
      </c>
      <c r="G28" s="9" t="s">
        <v>8</v>
      </c>
      <c r="H28" s="30" t="s">
        <v>55</v>
      </c>
      <c r="I28" s="13">
        <f>I27/24</f>
        <v>0</v>
      </c>
      <c r="J28" s="9" t="s">
        <v>8</v>
      </c>
    </row>
    <row r="29" spans="2:10" ht="12.75">
      <c r="B29" s="10" t="s">
        <v>20</v>
      </c>
      <c r="C29" s="11"/>
      <c r="D29" s="9"/>
      <c r="E29" s="10"/>
      <c r="F29" s="33"/>
      <c r="G29" s="9"/>
      <c r="H29" s="10"/>
      <c r="I29" s="33"/>
      <c r="J29" s="9"/>
    </row>
    <row r="30" spans="2:10" ht="12.75">
      <c r="B30" s="10"/>
      <c r="C30" s="11"/>
      <c r="D30" s="9"/>
      <c r="E30" s="10" t="s">
        <v>22</v>
      </c>
      <c r="F30" s="57">
        <f>IF(WTUSED=0,0,50)</f>
        <v>0</v>
      </c>
      <c r="G30" s="9" t="s">
        <v>9</v>
      </c>
      <c r="H30" s="10" t="s">
        <v>22</v>
      </c>
      <c r="I30" s="57">
        <f>IF(WTUSED=0,0,50)</f>
        <v>0</v>
      </c>
      <c r="J30" s="9" t="s">
        <v>9</v>
      </c>
    </row>
    <row r="31" spans="2:10" ht="12.75">
      <c r="B31" s="10"/>
      <c r="C31" s="11"/>
      <c r="D31" s="9"/>
      <c r="E31" s="10" t="s">
        <v>34</v>
      </c>
      <c r="F31" s="57">
        <f>IF(WTUSED=0,0,F30*1000/144)</f>
        <v>0</v>
      </c>
      <c r="G31" s="9" t="s">
        <v>33</v>
      </c>
      <c r="H31" s="10" t="s">
        <v>34</v>
      </c>
      <c r="I31" s="57">
        <f>IF(WTUSED=0,0,I30*1000/144)</f>
        <v>0</v>
      </c>
      <c r="J31" s="9" t="s">
        <v>33</v>
      </c>
    </row>
    <row r="32" spans="2:10" ht="13.5" thickBot="1">
      <c r="B32" s="10" t="s">
        <v>12</v>
      </c>
      <c r="C32" s="11"/>
      <c r="D32" s="9"/>
      <c r="E32" s="10"/>
      <c r="F32" s="11"/>
      <c r="G32" s="9"/>
      <c r="H32" s="10"/>
      <c r="I32" s="33"/>
      <c r="J32" s="9"/>
    </row>
    <row r="33" spans="2:10" ht="13.5" thickBot="1">
      <c r="B33" s="10" t="s">
        <v>31</v>
      </c>
      <c r="C33" s="11"/>
      <c r="D33" s="29"/>
      <c r="E33" s="24"/>
      <c r="F33" s="20"/>
      <c r="G33" s="16"/>
      <c r="H33" s="28" t="s">
        <v>44</v>
      </c>
      <c r="I33" s="33"/>
      <c r="J33" s="9"/>
    </row>
    <row r="34" spans="2:10" ht="12.75">
      <c r="B34" s="10"/>
      <c r="C34" s="11"/>
      <c r="D34" s="9"/>
      <c r="E34" s="24"/>
      <c r="F34" s="20"/>
      <c r="G34" s="16"/>
      <c r="H34" s="28" t="s">
        <v>47</v>
      </c>
      <c r="I34" s="33"/>
      <c r="J34" s="9"/>
    </row>
    <row r="35" spans="2:10" ht="12.75">
      <c r="B35" s="10"/>
      <c r="C35" s="11"/>
      <c r="D35" s="9"/>
      <c r="E35" s="12"/>
      <c r="F35" s="11"/>
      <c r="G35" s="9"/>
      <c r="H35" s="10"/>
      <c r="I35" s="33"/>
      <c r="J35" s="9"/>
    </row>
    <row r="36" spans="2:10" ht="12.75">
      <c r="B36" s="10"/>
      <c r="C36" s="11"/>
      <c r="D36" s="9"/>
      <c r="E36" s="25"/>
      <c r="F36" s="13"/>
      <c r="G36" s="16"/>
      <c r="H36" s="10" t="s">
        <v>42</v>
      </c>
      <c r="I36" s="33">
        <f>(DOSEBZ*WTUSED)/1000</f>
        <v>0</v>
      </c>
      <c r="J36" s="9" t="s">
        <v>6</v>
      </c>
    </row>
    <row r="37" spans="2:10" ht="12.75">
      <c r="B37" s="10"/>
      <c r="C37" s="11"/>
      <c r="D37" s="9"/>
      <c r="E37" s="25"/>
      <c r="F37" s="11"/>
      <c r="G37" s="16"/>
      <c r="H37" s="10" t="s">
        <v>43</v>
      </c>
      <c r="I37" s="33">
        <f>(I36*50)/2.5</f>
        <v>0</v>
      </c>
      <c r="J37" s="9"/>
    </row>
    <row r="38" spans="2:10" ht="12.75">
      <c r="B38" s="10"/>
      <c r="C38" s="11"/>
      <c r="D38" s="9"/>
      <c r="E38" s="10"/>
      <c r="F38" s="11"/>
      <c r="G38" s="9"/>
      <c r="H38" s="12" t="s">
        <v>54</v>
      </c>
      <c r="I38" s="13">
        <f>I37/24</f>
        <v>0</v>
      </c>
      <c r="J38" s="9" t="s">
        <v>8</v>
      </c>
    </row>
    <row r="39" spans="2:10" ht="13.5" thickBot="1">
      <c r="B39" s="6"/>
      <c r="C39" s="7"/>
      <c r="D39" s="14"/>
      <c r="E39" s="21"/>
      <c r="F39" s="22"/>
      <c r="G39" s="23"/>
      <c r="H39" s="6"/>
      <c r="I39" s="7"/>
      <c r="J39" s="14"/>
    </row>
    <row r="40" spans="2:10" ht="12.75">
      <c r="B40" s="3"/>
      <c r="C40" s="4"/>
      <c r="D40" s="5"/>
      <c r="E40" s="1" t="s">
        <v>60</v>
      </c>
      <c r="F40" s="33">
        <f>(WTUSED*0.25)</f>
        <v>0</v>
      </c>
      <c r="G40" s="11" t="s">
        <v>41</v>
      </c>
      <c r="H40" s="3" t="s">
        <v>60</v>
      </c>
      <c r="I40" s="46">
        <f>(WTUSED*0.25)</f>
        <v>0</v>
      </c>
      <c r="J40" s="5" t="s">
        <v>41</v>
      </c>
    </row>
    <row r="41" spans="2:10" ht="12.75">
      <c r="B41" s="32" t="s">
        <v>10</v>
      </c>
      <c r="C41" s="33"/>
      <c r="D41" s="34"/>
      <c r="E41" s="35" t="s">
        <v>67</v>
      </c>
      <c r="F41" s="35">
        <f>F40*5</f>
        <v>0</v>
      </c>
      <c r="G41" s="35" t="s">
        <v>19</v>
      </c>
      <c r="H41" s="36" t="s">
        <v>67</v>
      </c>
      <c r="I41" s="33">
        <f>I40*5</f>
        <v>0</v>
      </c>
      <c r="J41" s="34" t="s">
        <v>19</v>
      </c>
    </row>
    <row r="42" spans="2:10" ht="12.75">
      <c r="B42" s="36" t="s">
        <v>14</v>
      </c>
      <c r="C42" s="33"/>
      <c r="D42" s="34"/>
      <c r="E42" s="35"/>
      <c r="F42" s="35"/>
      <c r="G42" s="33"/>
      <c r="H42" s="36"/>
      <c r="I42" s="33"/>
      <c r="J42" s="34"/>
    </row>
    <row r="43" spans="2:10" ht="12.75">
      <c r="B43" s="37" t="s">
        <v>26</v>
      </c>
      <c r="C43" s="33"/>
      <c r="D43" s="34"/>
      <c r="E43" s="35" t="s">
        <v>73</v>
      </c>
      <c r="F43" s="35">
        <f>(F41*4)-F41</f>
        <v>0</v>
      </c>
      <c r="G43" s="35" t="s">
        <v>19</v>
      </c>
      <c r="H43" s="38" t="s">
        <v>70</v>
      </c>
      <c r="I43" s="13">
        <f>(I41*4)-I41</f>
        <v>0</v>
      </c>
      <c r="J43" s="34" t="s">
        <v>19</v>
      </c>
    </row>
    <row r="44" spans="2:10" ht="12.75">
      <c r="B44" s="36"/>
      <c r="C44" s="33"/>
      <c r="D44" s="34"/>
      <c r="E44" s="35" t="s">
        <v>74</v>
      </c>
      <c r="F44" s="35">
        <f>(F40*50)/2.5</f>
        <v>0</v>
      </c>
      <c r="G44" s="33"/>
      <c r="H44" s="36" t="s">
        <v>71</v>
      </c>
      <c r="I44" s="33">
        <f>(I40*50)/2.5</f>
        <v>0</v>
      </c>
      <c r="J44" s="34"/>
    </row>
    <row r="45" spans="2:10" ht="12.75">
      <c r="B45" s="36"/>
      <c r="C45" s="33"/>
      <c r="D45" s="34"/>
      <c r="E45" s="39" t="s">
        <v>53</v>
      </c>
      <c r="F45" s="13">
        <f>((WTUSED*5)/90)*60</f>
        <v>0</v>
      </c>
      <c r="G45" s="33" t="s">
        <v>8</v>
      </c>
      <c r="H45" s="40" t="s">
        <v>55</v>
      </c>
      <c r="I45" s="13">
        <f>I44/24</f>
        <v>0</v>
      </c>
      <c r="J45" s="34" t="s">
        <v>8</v>
      </c>
    </row>
    <row r="46" spans="2:10" ht="12.75">
      <c r="B46" s="36" t="s">
        <v>21</v>
      </c>
      <c r="C46" s="33"/>
      <c r="D46" s="34"/>
      <c r="E46" s="35"/>
      <c r="F46" s="35"/>
      <c r="G46" s="35"/>
      <c r="H46" s="36"/>
      <c r="I46" s="33"/>
      <c r="J46" s="34"/>
    </row>
    <row r="47" spans="2:10" ht="12.75">
      <c r="B47" s="36" t="s">
        <v>20</v>
      </c>
      <c r="C47" s="33"/>
      <c r="D47" s="34"/>
      <c r="E47" s="36" t="s">
        <v>22</v>
      </c>
      <c r="F47" s="33">
        <f>IF(WTUSED=0,0,50)</f>
        <v>0</v>
      </c>
      <c r="G47" s="33" t="s">
        <v>9</v>
      </c>
      <c r="H47" s="36" t="s">
        <v>22</v>
      </c>
      <c r="I47" s="33">
        <f>IF(WTUSED=0,0,50)</f>
        <v>0</v>
      </c>
      <c r="J47" s="34" t="s">
        <v>9</v>
      </c>
    </row>
    <row r="48" spans="2:10" ht="12.75">
      <c r="B48" s="36"/>
      <c r="C48" s="33"/>
      <c r="D48" s="34"/>
      <c r="E48" s="36" t="s">
        <v>34</v>
      </c>
      <c r="F48" s="33">
        <f>IF(WTUSED=0,0,F47*1000/185)</f>
        <v>0</v>
      </c>
      <c r="G48" s="33" t="s">
        <v>33</v>
      </c>
      <c r="H48" s="36" t="s">
        <v>34</v>
      </c>
      <c r="I48" s="33">
        <f>IF(WTUSED=0,0,I47*1000/185)</f>
        <v>0</v>
      </c>
      <c r="J48" s="34" t="s">
        <v>33</v>
      </c>
    </row>
    <row r="49" spans="2:10" ht="12.75">
      <c r="B49" s="36"/>
      <c r="C49" s="33"/>
      <c r="D49" s="34"/>
      <c r="E49" s="41"/>
      <c r="F49" s="13"/>
      <c r="G49" s="13"/>
      <c r="H49" s="36"/>
      <c r="I49" s="33"/>
      <c r="J49" s="34"/>
    </row>
    <row r="50" spans="2:10" ht="13.5" thickBot="1">
      <c r="B50" s="36" t="s">
        <v>12</v>
      </c>
      <c r="C50" s="33"/>
      <c r="D50" s="34"/>
      <c r="E50" s="31"/>
      <c r="F50" s="13"/>
      <c r="G50" s="13"/>
      <c r="H50" s="36"/>
      <c r="I50" s="33"/>
      <c r="J50" s="34"/>
    </row>
    <row r="51" spans="2:10" ht="13.5" thickBot="1">
      <c r="B51" s="36" t="s">
        <v>31</v>
      </c>
      <c r="C51" s="33"/>
      <c r="D51" s="42">
        <v>0</v>
      </c>
      <c r="E51" s="31"/>
      <c r="F51" s="13"/>
      <c r="G51" s="13"/>
      <c r="H51" s="43" t="s">
        <v>45</v>
      </c>
      <c r="I51" s="33"/>
      <c r="J51" s="34"/>
    </row>
    <row r="52" spans="2:10" ht="12.75">
      <c r="B52" s="36"/>
      <c r="C52" s="33"/>
      <c r="D52" s="34"/>
      <c r="E52" s="31"/>
      <c r="F52" s="13"/>
      <c r="G52" s="13"/>
      <c r="H52" s="43" t="s">
        <v>48</v>
      </c>
      <c r="I52" s="33"/>
      <c r="J52" s="34"/>
    </row>
    <row r="53" spans="2:10" ht="12.75">
      <c r="B53" s="36"/>
      <c r="C53" s="33"/>
      <c r="D53" s="34"/>
      <c r="E53" s="31"/>
      <c r="F53" s="13"/>
      <c r="G53" s="13"/>
      <c r="H53" s="36" t="s">
        <v>46</v>
      </c>
      <c r="I53" s="33">
        <f>(DOSEPB*WTUSED)/1000</f>
        <v>0</v>
      </c>
      <c r="J53" s="34" t="s">
        <v>6</v>
      </c>
    </row>
    <row r="54" spans="2:10" ht="12.75">
      <c r="B54" s="36"/>
      <c r="C54" s="33"/>
      <c r="D54" s="34"/>
      <c r="E54" s="35"/>
      <c r="F54" s="35"/>
      <c r="G54" s="35"/>
      <c r="H54" s="38" t="s">
        <v>68</v>
      </c>
      <c r="I54" s="33">
        <f>(I53*50/2.5)</f>
        <v>0</v>
      </c>
      <c r="J54" s="34" t="s">
        <v>19</v>
      </c>
    </row>
    <row r="55" spans="2:10" ht="13.5" thickBot="1">
      <c r="B55" s="52"/>
      <c r="C55" s="53"/>
      <c r="D55" s="54"/>
      <c r="E55" s="44"/>
      <c r="F55" s="13"/>
      <c r="G55" s="13"/>
      <c r="H55" s="61" t="s">
        <v>54</v>
      </c>
      <c r="I55" s="62">
        <f>I54/24</f>
        <v>0</v>
      </c>
      <c r="J55" s="54" t="s">
        <v>8</v>
      </c>
    </row>
    <row r="56" spans="2:10" ht="12.75">
      <c r="B56" s="45"/>
      <c r="C56" s="46"/>
      <c r="D56" s="47"/>
      <c r="E56" s="45"/>
      <c r="F56" s="48"/>
      <c r="G56" s="63"/>
      <c r="H56" s="45"/>
      <c r="I56" s="46"/>
      <c r="J56" s="47"/>
    </row>
    <row r="57" spans="2:10" ht="12.75">
      <c r="B57" s="32" t="s">
        <v>11</v>
      </c>
      <c r="C57" s="33"/>
      <c r="D57" s="34"/>
      <c r="E57" s="36"/>
      <c r="F57" s="13"/>
      <c r="G57" s="49"/>
      <c r="H57" s="36" t="s">
        <v>25</v>
      </c>
      <c r="I57" s="33">
        <f>IF(D62=0,0,I58*100/D62)</f>
        <v>0</v>
      </c>
      <c r="J57" s="34" t="s">
        <v>19</v>
      </c>
    </row>
    <row r="58" spans="2:10" ht="12.75">
      <c r="B58" s="36" t="s">
        <v>16</v>
      </c>
      <c r="C58" s="33"/>
      <c r="D58" s="34"/>
      <c r="E58" s="41" t="s">
        <v>51</v>
      </c>
      <c r="F58" s="13"/>
      <c r="G58" s="49"/>
      <c r="H58" s="38" t="s">
        <v>15</v>
      </c>
      <c r="I58" s="33">
        <f>IF(D62=0,0,150*WTUSED)/1000</f>
        <v>0</v>
      </c>
      <c r="J58" s="34" t="s">
        <v>6</v>
      </c>
    </row>
    <row r="59" spans="2:10" ht="12.75">
      <c r="B59" s="36" t="s">
        <v>17</v>
      </c>
      <c r="C59" s="33"/>
      <c r="D59" s="34"/>
      <c r="E59" s="50" t="s">
        <v>52</v>
      </c>
      <c r="F59" s="13"/>
      <c r="G59" s="49"/>
      <c r="H59" s="38" t="s">
        <v>50</v>
      </c>
      <c r="I59" s="33">
        <f>(I58*1000/50)-I57</f>
        <v>0</v>
      </c>
      <c r="J59" s="34" t="s">
        <v>7</v>
      </c>
    </row>
    <row r="60" spans="2:10" ht="12.75">
      <c r="B60" s="36"/>
      <c r="C60" s="33"/>
      <c r="D60" s="34"/>
      <c r="E60" s="31"/>
      <c r="F60" s="13"/>
      <c r="G60" s="49"/>
      <c r="H60" s="36" t="s">
        <v>56</v>
      </c>
      <c r="I60" s="33">
        <f>I57+I59</f>
        <v>0</v>
      </c>
      <c r="J60" s="34" t="s">
        <v>19</v>
      </c>
    </row>
    <row r="61" spans="2:10" ht="13.5" thickBot="1">
      <c r="B61" s="37" t="s">
        <v>35</v>
      </c>
      <c r="C61" s="33"/>
      <c r="D61" s="34"/>
      <c r="E61" s="36"/>
      <c r="F61" s="13"/>
      <c r="G61" s="49"/>
      <c r="H61" s="38" t="s">
        <v>57</v>
      </c>
      <c r="I61" s="13">
        <f>(I59+I57)/24</f>
        <v>0</v>
      </c>
      <c r="J61" s="34" t="s">
        <v>8</v>
      </c>
    </row>
    <row r="62" spans="2:10" ht="15.75" thickBot="1">
      <c r="B62" s="37" t="s">
        <v>36</v>
      </c>
      <c r="C62" s="33"/>
      <c r="D62" s="51">
        <v>0</v>
      </c>
      <c r="E62" s="36"/>
      <c r="F62" s="33"/>
      <c r="G62" s="34"/>
      <c r="H62" s="36"/>
      <c r="I62" s="33"/>
      <c r="J62" s="34"/>
    </row>
    <row r="63" spans="2:10" ht="12.75">
      <c r="B63" s="36" t="s">
        <v>21</v>
      </c>
      <c r="C63" s="33"/>
      <c r="D63" s="34"/>
      <c r="E63" s="36"/>
      <c r="F63" s="33"/>
      <c r="G63" s="34"/>
      <c r="H63" s="36"/>
      <c r="I63" s="33"/>
      <c r="J63" s="34"/>
    </row>
    <row r="64" spans="2:10" ht="12.75">
      <c r="B64" s="36" t="s">
        <v>20</v>
      </c>
      <c r="C64" s="33"/>
      <c r="D64" s="34"/>
      <c r="E64" s="36"/>
      <c r="F64" s="33"/>
      <c r="G64" s="34"/>
      <c r="H64" s="36" t="s">
        <v>22</v>
      </c>
      <c r="I64" s="33">
        <f>IF(D62=0,0,I58*1000/(I59+I57))</f>
        <v>0</v>
      </c>
      <c r="J64" s="34" t="s">
        <v>9</v>
      </c>
    </row>
    <row r="65" spans="2:10" ht="13.5" thickBot="1">
      <c r="B65" s="36"/>
      <c r="C65" s="33"/>
      <c r="D65" s="34"/>
      <c r="E65" s="52"/>
      <c r="F65" s="53"/>
      <c r="G65" s="54"/>
      <c r="H65" s="52"/>
      <c r="I65" s="53"/>
      <c r="J65" s="54"/>
    </row>
    <row r="66" spans="2:10" ht="12.75">
      <c r="B66" s="36"/>
      <c r="C66" s="33"/>
      <c r="D66" s="34"/>
      <c r="E66" s="45" t="s">
        <v>23</v>
      </c>
      <c r="F66" s="46"/>
      <c r="G66" s="47"/>
      <c r="H66" s="45" t="s">
        <v>23</v>
      </c>
      <c r="I66" s="46">
        <f>IF(D71=0,0,I67*100/D71)</f>
        <v>0</v>
      </c>
      <c r="J66" s="47" t="s">
        <v>19</v>
      </c>
    </row>
    <row r="67" spans="2:10" ht="12.75">
      <c r="B67" s="32" t="s">
        <v>11</v>
      </c>
      <c r="C67" s="33"/>
      <c r="D67" s="34"/>
      <c r="E67" s="38" t="s">
        <v>24</v>
      </c>
      <c r="F67" s="33">
        <f>IF(D71=0,0,F68*100/D71)</f>
        <v>0</v>
      </c>
      <c r="G67" s="34" t="s">
        <v>19</v>
      </c>
      <c r="H67" s="38" t="s">
        <v>30</v>
      </c>
      <c r="I67" s="33">
        <f>IF(D71=0,0,300*WTUSED)/1000</f>
        <v>0</v>
      </c>
      <c r="J67" s="34" t="s">
        <v>6</v>
      </c>
    </row>
    <row r="68" spans="2:10" ht="12.75">
      <c r="B68" s="36" t="s">
        <v>27</v>
      </c>
      <c r="C68" s="33"/>
      <c r="D68" s="34"/>
      <c r="E68" s="38" t="s">
        <v>49</v>
      </c>
      <c r="F68" s="33">
        <f>IF(D71=0,0,300*WTUSED)/1000</f>
        <v>0</v>
      </c>
      <c r="G68" s="34" t="s">
        <v>6</v>
      </c>
      <c r="H68" s="38" t="s">
        <v>50</v>
      </c>
      <c r="I68" s="33">
        <f>(I67*1000/50)-I66</f>
        <v>0</v>
      </c>
      <c r="J68" s="34" t="s">
        <v>7</v>
      </c>
    </row>
    <row r="69" spans="2:10" ht="12.75">
      <c r="B69" s="36" t="s">
        <v>28</v>
      </c>
      <c r="C69" s="33"/>
      <c r="D69" s="34"/>
      <c r="E69" s="36" t="s">
        <v>58</v>
      </c>
      <c r="F69" s="33">
        <f>(F68*1000/50)-F67</f>
        <v>0</v>
      </c>
      <c r="G69" s="34" t="s">
        <v>7</v>
      </c>
      <c r="H69" s="36" t="s">
        <v>58</v>
      </c>
      <c r="I69" s="33">
        <f>I66+I68</f>
        <v>0</v>
      </c>
      <c r="J69" s="34" t="s">
        <v>19</v>
      </c>
    </row>
    <row r="70" spans="2:10" ht="13.5" thickBot="1">
      <c r="B70" s="37" t="s">
        <v>37</v>
      </c>
      <c r="C70" s="33"/>
      <c r="D70" s="34"/>
      <c r="E70" s="38" t="s">
        <v>53</v>
      </c>
      <c r="F70" s="33">
        <f>F67+F69</f>
        <v>0</v>
      </c>
      <c r="G70" s="34" t="s">
        <v>19</v>
      </c>
      <c r="H70" s="38" t="s">
        <v>55</v>
      </c>
      <c r="I70" s="13">
        <f>(I68+I66)/24</f>
        <v>0</v>
      </c>
      <c r="J70" s="34" t="s">
        <v>8</v>
      </c>
    </row>
    <row r="71" spans="2:10" ht="15.75" thickBot="1">
      <c r="B71" s="37" t="s">
        <v>38</v>
      </c>
      <c r="C71" s="33"/>
      <c r="D71" s="51">
        <v>0</v>
      </c>
      <c r="E71" s="36"/>
      <c r="F71" s="13">
        <f>(F69+F67)/90*60</f>
        <v>0</v>
      </c>
      <c r="G71" s="34" t="s">
        <v>8</v>
      </c>
      <c r="H71" s="36"/>
      <c r="I71" s="33"/>
      <c r="J71" s="34"/>
    </row>
    <row r="72" spans="2:10" ht="12.75">
      <c r="B72" s="36"/>
      <c r="C72" s="33"/>
      <c r="D72" s="49"/>
      <c r="E72" s="36"/>
      <c r="F72" s="33"/>
      <c r="G72" s="34"/>
      <c r="H72" s="36"/>
      <c r="I72" s="33"/>
      <c r="J72" s="34"/>
    </row>
    <row r="73" spans="2:10" ht="12.75">
      <c r="B73" s="36" t="s">
        <v>21</v>
      </c>
      <c r="C73" s="33"/>
      <c r="D73" s="49"/>
      <c r="E73" s="36" t="s">
        <v>22</v>
      </c>
      <c r="F73" s="33">
        <f>IF(D71=0,0,F68*1000/(F69+F67))</f>
        <v>0</v>
      </c>
      <c r="G73" s="34" t="s">
        <v>9</v>
      </c>
      <c r="H73" s="36" t="s">
        <v>22</v>
      </c>
      <c r="I73" s="33">
        <f>IF(D71=0,0,I67*1000/(I68+I66))</f>
        <v>0</v>
      </c>
      <c r="J73" s="34" t="s">
        <v>9</v>
      </c>
    </row>
    <row r="74" spans="2:10" ht="12.75">
      <c r="B74" s="36" t="s">
        <v>20</v>
      </c>
      <c r="C74" s="33"/>
      <c r="D74" s="34"/>
      <c r="E74" s="36"/>
      <c r="F74" s="11"/>
      <c r="G74" s="9"/>
      <c r="H74" s="36"/>
      <c r="I74" s="33"/>
      <c r="J74" s="34"/>
    </row>
    <row r="75" spans="2:10" ht="13.5" thickBot="1">
      <c r="B75" s="36"/>
      <c r="C75" s="33"/>
      <c r="D75" s="34"/>
      <c r="E75" s="52"/>
      <c r="F75" s="53"/>
      <c r="G75" s="54"/>
      <c r="H75" s="52"/>
      <c r="I75" s="53"/>
      <c r="J75" s="54"/>
    </row>
    <row r="76" spans="2:10" ht="12.75">
      <c r="B76" s="36"/>
      <c r="C76" s="33"/>
      <c r="D76" s="34"/>
      <c r="E76" s="45"/>
      <c r="F76" s="46"/>
      <c r="G76" s="47"/>
      <c r="H76" s="45"/>
      <c r="I76" s="46"/>
      <c r="J76" s="47"/>
    </row>
    <row r="77" spans="2:10" ht="12.75">
      <c r="B77" s="36"/>
      <c r="C77" s="33"/>
      <c r="D77" s="34"/>
      <c r="E77" s="41"/>
      <c r="F77" s="33"/>
      <c r="G77" s="34"/>
      <c r="H77" s="36" t="s">
        <v>23</v>
      </c>
      <c r="I77" s="33">
        <f>IF(D84=0,0,I78*100/D84)</f>
        <v>0</v>
      </c>
      <c r="J77" s="34" t="s">
        <v>19</v>
      </c>
    </row>
    <row r="78" spans="2:10" ht="12.75">
      <c r="B78" s="32" t="s">
        <v>11</v>
      </c>
      <c r="C78" s="33"/>
      <c r="D78" s="55"/>
      <c r="E78" s="31"/>
      <c r="F78" s="13"/>
      <c r="G78" s="49"/>
      <c r="H78" s="38"/>
      <c r="I78" s="33">
        <f>(DOSEARG*WTUSED)/1000</f>
        <v>0</v>
      </c>
      <c r="J78" s="34" t="s">
        <v>6</v>
      </c>
    </row>
    <row r="79" spans="2:10" ht="13.5" thickBot="1">
      <c r="B79" s="36" t="s">
        <v>12</v>
      </c>
      <c r="C79" s="33"/>
      <c r="D79" s="34"/>
      <c r="E79" s="31"/>
      <c r="F79" s="13"/>
      <c r="G79" s="49"/>
      <c r="H79" s="38" t="s">
        <v>50</v>
      </c>
      <c r="I79" s="33">
        <f>IF(D84=0,0,(I78*1000/50)-I77)</f>
        <v>0</v>
      </c>
      <c r="J79" s="34" t="s">
        <v>7</v>
      </c>
    </row>
    <row r="80" spans="2:10" ht="13.5" thickBot="1">
      <c r="B80" s="56" t="s">
        <v>32</v>
      </c>
      <c r="C80" s="33"/>
      <c r="D80" s="42">
        <v>0</v>
      </c>
      <c r="E80" s="31"/>
      <c r="F80" s="13"/>
      <c r="G80" s="49"/>
      <c r="H80" s="36" t="s">
        <v>58</v>
      </c>
      <c r="I80" s="33"/>
      <c r="J80" s="34" t="s">
        <v>19</v>
      </c>
    </row>
    <row r="81" spans="2:10" ht="12.75">
      <c r="B81" s="36"/>
      <c r="C81" s="33"/>
      <c r="D81" s="34"/>
      <c r="E81" s="41"/>
      <c r="F81" s="13"/>
      <c r="G81" s="49"/>
      <c r="H81" s="38" t="s">
        <v>59</v>
      </c>
      <c r="I81" s="13">
        <f>(I79+I77)/24</f>
        <v>0</v>
      </c>
      <c r="J81" s="34" t="s">
        <v>8</v>
      </c>
    </row>
    <row r="82" spans="2:10" ht="12.75">
      <c r="B82" s="36"/>
      <c r="C82" s="33"/>
      <c r="D82" s="34"/>
      <c r="E82" s="41"/>
      <c r="F82" s="13"/>
      <c r="G82" s="49"/>
      <c r="H82" s="36"/>
      <c r="I82" s="33"/>
      <c r="J82" s="34"/>
    </row>
    <row r="83" spans="2:10" ht="13.5" thickBot="1">
      <c r="B83" s="37" t="s">
        <v>29</v>
      </c>
      <c r="C83" s="33"/>
      <c r="D83" s="34"/>
      <c r="E83" s="41"/>
      <c r="F83" s="13"/>
      <c r="G83" s="49"/>
      <c r="H83" s="36"/>
      <c r="I83" s="33"/>
      <c r="J83" s="34"/>
    </row>
    <row r="84" spans="2:10" ht="13.5" thickBot="1">
      <c r="B84" s="37" t="s">
        <v>40</v>
      </c>
      <c r="C84" s="33"/>
      <c r="D84" s="51">
        <v>0</v>
      </c>
      <c r="E84" s="41"/>
      <c r="F84" s="13"/>
      <c r="G84" s="49"/>
      <c r="H84" s="36" t="s">
        <v>22</v>
      </c>
      <c r="I84" s="33">
        <f>IF(D80=0,0,I78*1000/(I79+I77))</f>
        <v>0</v>
      </c>
      <c r="J84" s="34" t="s">
        <v>9</v>
      </c>
    </row>
    <row r="85" spans="2:10" ht="12.75">
      <c r="B85" s="36"/>
      <c r="C85" s="33"/>
      <c r="D85" s="34"/>
      <c r="E85" s="36"/>
      <c r="F85" s="13"/>
      <c r="G85" s="49"/>
      <c r="H85" s="36"/>
      <c r="I85" s="33"/>
      <c r="J85" s="34"/>
    </row>
    <row r="86" spans="2:10" ht="12.75">
      <c r="B86" s="36" t="s">
        <v>21</v>
      </c>
      <c r="C86" s="33"/>
      <c r="D86" s="34"/>
      <c r="E86" s="36"/>
      <c r="F86" s="33"/>
      <c r="G86" s="34"/>
      <c r="H86" s="36"/>
      <c r="I86" s="33"/>
      <c r="J86" s="34"/>
    </row>
    <row r="87" spans="2:10" ht="13.5" thickBot="1">
      <c r="B87" s="52" t="s">
        <v>20</v>
      </c>
      <c r="C87" s="53"/>
      <c r="D87" s="54"/>
      <c r="E87" s="52"/>
      <c r="F87" s="53"/>
      <c r="G87" s="54"/>
      <c r="H87" s="52"/>
      <c r="I87" s="53"/>
      <c r="J87" s="54"/>
    </row>
    <row r="88" spans="2:10" ht="12.75">
      <c r="B88" s="46"/>
      <c r="C88" s="46"/>
      <c r="D88" s="46"/>
      <c r="E88" s="33"/>
      <c r="F88" s="33"/>
      <c r="G88" s="33"/>
      <c r="H88" s="46"/>
      <c r="I88" s="46"/>
      <c r="J88" s="46"/>
    </row>
    <row r="89" spans="2:10" ht="12.75">
      <c r="B89" s="67"/>
      <c r="C89" s="67"/>
      <c r="D89" s="33"/>
      <c r="E89" s="33"/>
      <c r="F89" s="33"/>
      <c r="G89" s="33"/>
      <c r="H89" s="33"/>
      <c r="I89" s="33"/>
      <c r="J89" s="33"/>
    </row>
    <row r="90" spans="2:10" ht="12.75">
      <c r="B90" s="33"/>
      <c r="C90" s="33"/>
      <c r="D90" s="33"/>
      <c r="E90" s="33"/>
      <c r="F90" s="33"/>
      <c r="G90" s="33"/>
      <c r="H90" s="33"/>
      <c r="I90" s="33"/>
      <c r="J90" s="33"/>
    </row>
    <row r="91" spans="2:10" ht="12.75">
      <c r="B91" s="33"/>
      <c r="C91" s="33"/>
      <c r="D91" s="33"/>
      <c r="E91" s="33"/>
      <c r="F91" s="33"/>
      <c r="G91" s="33"/>
      <c r="H91" s="33"/>
      <c r="I91" s="33"/>
      <c r="J91" s="33"/>
    </row>
    <row r="92" spans="2:10" ht="12.75">
      <c r="B92" s="33"/>
      <c r="C92" s="33"/>
      <c r="D92" s="33"/>
      <c r="E92" s="33"/>
      <c r="F92" s="33"/>
      <c r="G92" s="33"/>
      <c r="H92" s="33"/>
      <c r="I92" s="33"/>
      <c r="J92" s="33"/>
    </row>
    <row r="93" spans="2:10" ht="12.75">
      <c r="B93" s="33"/>
      <c r="C93" s="33"/>
      <c r="D93" s="33"/>
      <c r="E93" s="33"/>
      <c r="F93" s="33"/>
      <c r="G93" s="33"/>
      <c r="H93" s="33"/>
      <c r="I93" s="33"/>
      <c r="J93" s="33"/>
    </row>
    <row r="94" spans="2:10" ht="12.75">
      <c r="B94" s="74"/>
      <c r="C94" s="11"/>
      <c r="D94" s="11"/>
      <c r="E94" s="11"/>
      <c r="F94" s="33"/>
      <c r="G94" s="11"/>
      <c r="H94" s="11"/>
      <c r="I94" s="33"/>
      <c r="J94" s="11"/>
    </row>
    <row r="95" spans="2:10" ht="12.75">
      <c r="B95" s="72"/>
      <c r="C95" s="33"/>
      <c r="D95" s="33"/>
      <c r="E95" s="33"/>
      <c r="F95" s="33"/>
      <c r="G95" s="33"/>
      <c r="H95" s="33"/>
      <c r="I95" s="33"/>
      <c r="J95" s="33"/>
    </row>
    <row r="96" spans="2:10" ht="12.75">
      <c r="B96" s="33"/>
      <c r="C96" s="33"/>
      <c r="D96" s="33"/>
      <c r="E96" s="33"/>
      <c r="F96" s="33"/>
      <c r="G96" s="33"/>
      <c r="H96" s="33"/>
      <c r="I96" s="33"/>
      <c r="J96" s="33"/>
    </row>
    <row r="97" spans="2:10" ht="12.75">
      <c r="B97" s="73"/>
      <c r="C97" s="33"/>
      <c r="D97" s="33"/>
      <c r="E97" s="33"/>
      <c r="F97" s="33"/>
      <c r="G97" s="33"/>
      <c r="H97" s="39"/>
      <c r="I97" s="13"/>
      <c r="J97" s="33"/>
    </row>
    <row r="98" spans="2:10" ht="12.75">
      <c r="B98" s="33"/>
      <c r="C98" s="33"/>
      <c r="D98" s="33"/>
      <c r="E98" s="33"/>
      <c r="F98" s="33"/>
      <c r="G98" s="33"/>
      <c r="H98" s="33"/>
      <c r="I98" s="33"/>
      <c r="J98" s="33"/>
    </row>
    <row r="99" spans="2:10" ht="12.75">
      <c r="B99" s="33"/>
      <c r="C99" s="33"/>
      <c r="D99" s="33"/>
      <c r="E99" s="39"/>
      <c r="F99" s="13"/>
      <c r="G99" s="33"/>
      <c r="H99" s="76"/>
      <c r="I99" s="13"/>
      <c r="J99" s="33"/>
    </row>
    <row r="100" spans="2:10" ht="12.75"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2:10" ht="12.75"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2:10" ht="12.75"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2:10" ht="12.75">
      <c r="B103" s="33"/>
      <c r="C103" s="33"/>
      <c r="D103" s="33"/>
      <c r="E103" s="13"/>
      <c r="F103" s="13"/>
      <c r="G103" s="13"/>
      <c r="H103" s="33"/>
      <c r="I103" s="33"/>
      <c r="J103" s="33"/>
    </row>
    <row r="104" spans="2:10" ht="12.75">
      <c r="B104" s="33"/>
      <c r="C104" s="33"/>
      <c r="D104" s="33"/>
      <c r="E104" s="71"/>
      <c r="F104" s="13"/>
      <c r="G104" s="13"/>
      <c r="H104" s="33"/>
      <c r="I104" s="33"/>
      <c r="J104" s="33"/>
    </row>
    <row r="105" spans="2:10" ht="12.75">
      <c r="B105" s="33"/>
      <c r="C105" s="33"/>
      <c r="D105" s="75"/>
      <c r="E105" s="71"/>
      <c r="F105" s="13"/>
      <c r="G105" s="13"/>
      <c r="H105" s="77"/>
      <c r="I105" s="33"/>
      <c r="J105" s="33"/>
    </row>
    <row r="106" spans="2:10" ht="12.75">
      <c r="B106" s="33"/>
      <c r="C106" s="33"/>
      <c r="D106" s="33"/>
      <c r="E106" s="71"/>
      <c r="F106" s="13"/>
      <c r="G106" s="13"/>
      <c r="H106" s="77"/>
      <c r="I106" s="33"/>
      <c r="J106" s="33"/>
    </row>
    <row r="107" spans="2:10" ht="12.75">
      <c r="B107" s="33"/>
      <c r="C107" s="33"/>
      <c r="D107" s="33"/>
      <c r="E107" s="71"/>
      <c r="F107" s="13"/>
      <c r="G107" s="13"/>
      <c r="H107" s="33"/>
      <c r="I107" s="33"/>
      <c r="J107" s="33"/>
    </row>
    <row r="108" spans="2:10" ht="12.75">
      <c r="B108" s="33"/>
      <c r="C108" s="33"/>
      <c r="D108" s="33"/>
      <c r="E108" s="33"/>
      <c r="F108" s="33"/>
      <c r="G108" s="33"/>
      <c r="H108" s="39"/>
      <c r="I108" s="33"/>
      <c r="J108" s="33"/>
    </row>
    <row r="109" spans="2:10" ht="12.75">
      <c r="B109" s="33"/>
      <c r="C109" s="33"/>
      <c r="D109" s="33"/>
      <c r="E109" s="33"/>
      <c r="F109" s="33"/>
      <c r="G109" s="33"/>
      <c r="H109" s="39"/>
      <c r="I109" s="33"/>
      <c r="J109" s="33"/>
    </row>
    <row r="110" spans="2:10" ht="12.75">
      <c r="B110" s="33"/>
      <c r="C110" s="33"/>
      <c r="D110" s="33"/>
      <c r="E110" s="13"/>
      <c r="F110" s="13"/>
      <c r="G110" s="13"/>
      <c r="H110" s="39"/>
      <c r="I110" s="13"/>
      <c r="J110" s="33"/>
    </row>
  </sheetData>
  <sheetProtection selectLockedCells="1"/>
  <mergeCells count="9">
    <mergeCell ref="E21:G21"/>
    <mergeCell ref="H21:J21"/>
    <mergeCell ref="E22:G22"/>
    <mergeCell ref="H22:J22"/>
    <mergeCell ref="C11:J11"/>
    <mergeCell ref="C12:J12"/>
    <mergeCell ref="C14:J14"/>
    <mergeCell ref="C15:E15"/>
    <mergeCell ref="C13:F13"/>
  </mergeCells>
  <conditionalFormatting sqref="F30:F31 I30:I31">
    <cfRule type="cellIs" priority="1" dxfId="0" operator="greaterThan" stopIfTrue="1">
      <formula>0.1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8">
      <selection activeCell="E30" sqref="E30"/>
    </sheetView>
  </sheetViews>
  <sheetFormatPr defaultColWidth="9.140625" defaultRowHeight="12.75"/>
  <cols>
    <col min="3" max="3" width="19.140625" style="0" customWidth="1"/>
    <col min="4" max="4" width="12.00390625" style="0" customWidth="1"/>
    <col min="5" max="5" width="22.28125" style="0" customWidth="1"/>
    <col min="6" max="6" width="8.00390625" style="0" customWidth="1"/>
    <col min="8" max="8" width="22.57421875" style="0" customWidth="1"/>
    <col min="9" max="9" width="8.57421875" style="0" customWidth="1"/>
    <col min="10" max="10" width="12.421875" style="0" customWidth="1"/>
    <col min="11" max="11" width="17.140625" style="0" customWidth="1"/>
  </cols>
  <sheetData>
    <row r="2" ht="15.75">
      <c r="B2" s="78" t="s">
        <v>98</v>
      </c>
    </row>
    <row r="5" spans="2:10" ht="12.75">
      <c r="B5" s="33"/>
      <c r="C5" s="33"/>
      <c r="D5" s="33"/>
      <c r="E5" s="33"/>
      <c r="F5" s="33"/>
      <c r="G5" s="33"/>
      <c r="H5" s="33"/>
      <c r="I5" s="33"/>
      <c r="J5" s="33"/>
    </row>
    <row r="6" spans="2:10" ht="12.75">
      <c r="B6" s="67" t="s">
        <v>82</v>
      </c>
      <c r="C6" s="67"/>
      <c r="D6" s="33"/>
      <c r="E6" s="33"/>
      <c r="F6" s="33"/>
      <c r="G6" s="33"/>
      <c r="H6" s="33"/>
      <c r="I6" s="33"/>
      <c r="J6" s="33"/>
    </row>
    <row r="7" spans="2:10" ht="12.75">
      <c r="B7" s="33" t="s">
        <v>84</v>
      </c>
      <c r="C7" s="33"/>
      <c r="D7" s="33"/>
      <c r="E7" s="33"/>
      <c r="F7" s="33"/>
      <c r="G7" s="33"/>
      <c r="H7" s="33"/>
      <c r="I7" s="33"/>
      <c r="J7" s="33"/>
    </row>
    <row r="8" spans="2:10" ht="12.75">
      <c r="B8" s="33" t="s">
        <v>83</v>
      </c>
      <c r="C8" s="33"/>
      <c r="D8" s="33"/>
      <c r="E8" s="33"/>
      <c r="F8" s="33"/>
      <c r="G8" s="33"/>
      <c r="H8" s="33"/>
      <c r="I8" s="33"/>
      <c r="J8" s="33"/>
    </row>
    <row r="9" spans="2:10" ht="12.75">
      <c r="B9" s="33" t="s">
        <v>86</v>
      </c>
      <c r="C9" s="33"/>
      <c r="D9" s="33"/>
      <c r="E9" s="33"/>
      <c r="F9" s="33"/>
      <c r="G9" s="33"/>
      <c r="H9" s="33"/>
      <c r="I9" s="33"/>
      <c r="J9" s="33"/>
    </row>
    <row r="10" spans="2:10" ht="12.75">
      <c r="B10" s="33"/>
      <c r="C10" s="33"/>
      <c r="D10" s="33"/>
      <c r="E10" s="33"/>
      <c r="F10" s="33"/>
      <c r="G10" s="33"/>
      <c r="H10" s="33"/>
      <c r="I10" s="33"/>
      <c r="J10" s="33"/>
    </row>
    <row r="11" spans="2:10" ht="13.5" thickBot="1">
      <c r="B11" s="33"/>
      <c r="C11" s="33"/>
      <c r="D11" s="33"/>
      <c r="E11" s="33"/>
      <c r="F11" s="33"/>
      <c r="G11" s="33"/>
      <c r="H11" s="33"/>
      <c r="I11" s="33"/>
      <c r="J11" s="33"/>
    </row>
    <row r="12" spans="2:10" ht="13.5" thickBot="1">
      <c r="B12" s="3"/>
      <c r="C12" s="4"/>
      <c r="D12" s="5"/>
      <c r="E12" s="3"/>
      <c r="F12" s="4"/>
      <c r="G12" s="5"/>
      <c r="H12" s="3"/>
      <c r="I12" s="4"/>
      <c r="J12" s="5"/>
    </row>
    <row r="13" spans="2:10" ht="13.5" thickBot="1">
      <c r="B13" s="10"/>
      <c r="C13" s="17" t="s">
        <v>1</v>
      </c>
      <c r="D13" s="58"/>
      <c r="E13" s="79" t="s">
        <v>2</v>
      </c>
      <c r="F13" s="80"/>
      <c r="G13" s="81"/>
      <c r="H13" s="79" t="s">
        <v>3</v>
      </c>
      <c r="I13" s="80"/>
      <c r="J13" s="81"/>
    </row>
    <row r="14" spans="2:10" ht="13.5" thickBot="1">
      <c r="B14" s="10"/>
      <c r="C14" s="59">
        <f>IF(WEIGHT1&gt;=39.9,"USE ADULT protocol","")</f>
      </c>
      <c r="D14" s="60">
        <f>IF(WEIGHT1&gt;=40,,WEIGHT1)</f>
        <v>0</v>
      </c>
      <c r="E14" s="82" t="s">
        <v>13</v>
      </c>
      <c r="F14" s="83"/>
      <c r="G14" s="84"/>
      <c r="H14" s="82" t="s">
        <v>4</v>
      </c>
      <c r="I14" s="85"/>
      <c r="J14" s="86"/>
    </row>
    <row r="15" spans="2:10" ht="12.75">
      <c r="B15" s="66" t="s">
        <v>87</v>
      </c>
      <c r="C15" s="4"/>
      <c r="D15" s="5"/>
      <c r="E15" s="3" t="s">
        <v>81</v>
      </c>
      <c r="F15" s="46">
        <f>(WTUSED1*0.25)</f>
        <v>0</v>
      </c>
      <c r="G15" s="5" t="s">
        <v>41</v>
      </c>
      <c r="H15" s="3" t="s">
        <v>81</v>
      </c>
      <c r="I15" s="46">
        <f>(WTUSED1*0.25)</f>
        <v>0</v>
      </c>
      <c r="J15" s="5" t="s">
        <v>41</v>
      </c>
    </row>
    <row r="16" spans="2:10" ht="12.75">
      <c r="B16" s="32" t="s">
        <v>88</v>
      </c>
      <c r="C16" s="33"/>
      <c r="D16" s="34"/>
      <c r="E16" s="36" t="s">
        <v>80</v>
      </c>
      <c r="F16" s="33">
        <f>F15*10</f>
        <v>0</v>
      </c>
      <c r="G16" s="34" t="s">
        <v>19</v>
      </c>
      <c r="H16" s="36" t="s">
        <v>67</v>
      </c>
      <c r="I16" s="33">
        <f>I15*10</f>
        <v>0</v>
      </c>
      <c r="J16" s="34" t="s">
        <v>19</v>
      </c>
    </row>
    <row r="17" spans="2:10" ht="12.75">
      <c r="B17" s="36" t="s">
        <v>14</v>
      </c>
      <c r="C17" s="33"/>
      <c r="D17" s="34"/>
      <c r="E17" s="36"/>
      <c r="F17" s="33"/>
      <c r="G17" s="34"/>
      <c r="H17" s="36"/>
      <c r="I17" s="33"/>
      <c r="J17" s="34"/>
    </row>
    <row r="18" spans="2:10" ht="12.75">
      <c r="B18" s="37"/>
      <c r="C18" s="33"/>
      <c r="D18" s="34"/>
      <c r="E18" s="36" t="s">
        <v>73</v>
      </c>
      <c r="F18" s="33">
        <f>(F16*4)-F16</f>
        <v>0</v>
      </c>
      <c r="G18" s="34" t="s">
        <v>19</v>
      </c>
      <c r="H18" s="38" t="s">
        <v>70</v>
      </c>
      <c r="I18" s="13">
        <f>(I16*4)-I16</f>
        <v>0</v>
      </c>
      <c r="J18" s="34" t="s">
        <v>19</v>
      </c>
    </row>
    <row r="19" spans="2:10" ht="12.75">
      <c r="B19" s="36"/>
      <c r="C19" s="33"/>
      <c r="D19" s="34"/>
      <c r="E19" s="36" t="s">
        <v>74</v>
      </c>
      <c r="F19" s="33">
        <f>(F15*100)/2.5</f>
        <v>0</v>
      </c>
      <c r="G19" s="34"/>
      <c r="H19" s="36" t="s">
        <v>71</v>
      </c>
      <c r="I19" s="33">
        <f>(I15*100)/2.5</f>
        <v>0</v>
      </c>
      <c r="J19" s="34"/>
    </row>
    <row r="20" spans="2:10" ht="12.75">
      <c r="B20" s="36"/>
      <c r="C20" s="33"/>
      <c r="D20" s="34"/>
      <c r="E20" s="38" t="s">
        <v>53</v>
      </c>
      <c r="F20" s="13">
        <f>((WTUSED1*10)/90)*60</f>
        <v>0</v>
      </c>
      <c r="G20" s="34" t="s">
        <v>8</v>
      </c>
      <c r="H20" s="40" t="s">
        <v>55</v>
      </c>
      <c r="I20" s="13">
        <f>I19/24</f>
        <v>0</v>
      </c>
      <c r="J20" s="34" t="s">
        <v>8</v>
      </c>
    </row>
    <row r="21" spans="2:10" ht="12.75">
      <c r="B21" s="36" t="s">
        <v>21</v>
      </c>
      <c r="C21" s="33"/>
      <c r="D21" s="34"/>
      <c r="E21" s="36"/>
      <c r="F21" s="33"/>
      <c r="G21" s="34"/>
      <c r="H21" s="36"/>
      <c r="I21" s="33"/>
      <c r="J21" s="34"/>
    </row>
    <row r="22" spans="2:10" ht="12.75">
      <c r="B22" s="36" t="s">
        <v>85</v>
      </c>
      <c r="C22" s="33"/>
      <c r="D22" s="34"/>
      <c r="E22" s="36" t="s">
        <v>22</v>
      </c>
      <c r="F22" s="33">
        <f>IF(WTUSED1=0,0,50)</f>
        <v>0</v>
      </c>
      <c r="G22" s="34" t="s">
        <v>9</v>
      </c>
      <c r="H22" s="36" t="s">
        <v>22</v>
      </c>
      <c r="I22" s="33">
        <f>IF(WTUSED1=0,0,50)</f>
        <v>0</v>
      </c>
      <c r="J22" s="34" t="s">
        <v>9</v>
      </c>
    </row>
    <row r="23" spans="2:10" ht="12.75">
      <c r="B23" s="36"/>
      <c r="C23" s="33"/>
      <c r="D23" s="34"/>
      <c r="E23" s="36" t="s">
        <v>34</v>
      </c>
      <c r="F23" s="33">
        <f>IF(WTUSED1=0,0,(F22*1000/158+F22*1000/144))</f>
        <v>0</v>
      </c>
      <c r="G23" s="34" t="s">
        <v>33</v>
      </c>
      <c r="H23" s="36" t="s">
        <v>34</v>
      </c>
      <c r="I23" s="33">
        <f>IF(WTUSED1=0,0,(I22*1000/158+I22*1000/144))</f>
        <v>0</v>
      </c>
      <c r="J23" s="34" t="s">
        <v>33</v>
      </c>
    </row>
    <row r="24" spans="2:10" ht="12.75">
      <c r="B24" s="36"/>
      <c r="C24" s="33"/>
      <c r="D24" s="34"/>
      <c r="E24" s="41"/>
      <c r="F24" s="13"/>
      <c r="G24" s="49"/>
      <c r="H24" s="36"/>
      <c r="I24" s="33"/>
      <c r="J24" s="34"/>
    </row>
    <row r="25" spans="2:10" ht="12.75">
      <c r="B25" s="36" t="s">
        <v>12</v>
      </c>
      <c r="C25" s="33"/>
      <c r="D25" s="34"/>
      <c r="E25" s="41"/>
      <c r="F25" s="13"/>
      <c r="G25" s="49"/>
      <c r="H25" s="36"/>
      <c r="I25" s="33"/>
      <c r="J25" s="34"/>
    </row>
    <row r="26" spans="2:10" ht="13.5" thickBot="1">
      <c r="B26" s="41" t="s">
        <v>97</v>
      </c>
      <c r="C26" s="33"/>
      <c r="D26" s="34"/>
      <c r="E26" s="31"/>
      <c r="F26" s="13"/>
      <c r="G26" s="49"/>
      <c r="H26" s="36"/>
      <c r="I26" s="33"/>
      <c r="J26" s="34"/>
    </row>
    <row r="27" spans="2:10" ht="13.5" thickBot="1">
      <c r="B27" s="36" t="s">
        <v>31</v>
      </c>
      <c r="C27" s="33"/>
      <c r="D27" s="42"/>
      <c r="E27" s="31"/>
      <c r="F27" s="13"/>
      <c r="G27" s="49"/>
      <c r="H27" s="43" t="s">
        <v>89</v>
      </c>
      <c r="I27" s="33"/>
      <c r="J27" s="34"/>
    </row>
    <row r="28" spans="2:10" ht="12.75">
      <c r="B28" s="36"/>
      <c r="C28" s="33"/>
      <c r="D28" s="34"/>
      <c r="E28" s="31"/>
      <c r="F28" s="13"/>
      <c r="G28" s="49"/>
      <c r="H28" s="43" t="s">
        <v>48</v>
      </c>
      <c r="I28" s="33"/>
      <c r="J28" s="34"/>
    </row>
    <row r="29" spans="2:10" ht="12.75">
      <c r="B29" s="36"/>
      <c r="C29" s="33"/>
      <c r="D29" s="34"/>
      <c r="E29" s="31"/>
      <c r="F29" s="13"/>
      <c r="G29" s="49"/>
      <c r="H29" s="36" t="s">
        <v>90</v>
      </c>
      <c r="I29" s="33">
        <f>(D27*WTUSED1)/1000</f>
        <v>0</v>
      </c>
      <c r="J29" s="34" t="s">
        <v>91</v>
      </c>
    </row>
    <row r="30" spans="2:10" ht="12.75">
      <c r="B30" s="36"/>
      <c r="C30" s="33"/>
      <c r="D30" s="34"/>
      <c r="E30" s="36"/>
      <c r="F30" s="33"/>
      <c r="G30" s="34"/>
      <c r="H30" s="38" t="s">
        <v>92</v>
      </c>
      <c r="I30" s="33">
        <f>(I29*10)</f>
        <v>0</v>
      </c>
      <c r="J30" s="34" t="s">
        <v>19</v>
      </c>
    </row>
    <row r="31" spans="2:10" ht="12.75">
      <c r="B31" s="36"/>
      <c r="C31" s="33"/>
      <c r="D31" s="34"/>
      <c r="E31" s="36"/>
      <c r="F31" s="33"/>
      <c r="G31" s="34"/>
      <c r="H31" s="38" t="s">
        <v>93</v>
      </c>
      <c r="I31" s="33"/>
      <c r="J31" s="34"/>
    </row>
    <row r="32" spans="2:10" ht="13.5" thickBot="1">
      <c r="B32" s="52"/>
      <c r="C32" s="53"/>
      <c r="D32" s="54"/>
      <c r="E32" s="44"/>
      <c r="F32" s="62"/>
      <c r="G32" s="68"/>
      <c r="H32" s="61" t="s">
        <v>99</v>
      </c>
      <c r="I32" s="62">
        <f>I30/24</f>
        <v>0</v>
      </c>
      <c r="J32" s="54" t="s">
        <v>8</v>
      </c>
    </row>
  </sheetData>
  <sheetProtection password="DAF1" sheet="1"/>
  <mergeCells count="4">
    <mergeCell ref="E13:G13"/>
    <mergeCell ref="H13:J13"/>
    <mergeCell ref="E14:G14"/>
    <mergeCell ref="H14:J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ICH,UCL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 Leonard</dc:creator>
  <cp:keywords/>
  <dc:description/>
  <cp:lastModifiedBy>Windows User</cp:lastModifiedBy>
  <cp:lastPrinted>2008-01-10T17:57:56Z</cp:lastPrinted>
  <dcterms:created xsi:type="dcterms:W3CDTF">2008-01-10T15:00:51Z</dcterms:created>
  <dcterms:modified xsi:type="dcterms:W3CDTF">2013-12-04T10:12:32Z</dcterms:modified>
  <cp:category/>
  <cp:version/>
  <cp:contentType/>
  <cp:contentStatus/>
</cp:coreProperties>
</file>